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FC" sheetId="2" r:id="rId1"/>
  </sheets>
  <definedNames>
    <definedName name="CF">#REF!</definedName>
    <definedName name="Costos_Fijo">#REF!</definedName>
    <definedName name="Costos_Fijos">#REF!</definedName>
    <definedName name="Costos_variables">#REF!</definedName>
    <definedName name="CVu">#REF!</definedName>
    <definedName name="GAdmón">#REF!</definedName>
    <definedName name="Gastos_de_Administración">#REF!</definedName>
    <definedName name="Ke">#REF!</definedName>
    <definedName name="Precio_de_venta">#REF!</definedName>
    <definedName name="Probabilidad_de_ocurrencia">#REF!</definedName>
    <definedName name="PV">#REF!</definedName>
    <definedName name="TIR">#REF!</definedName>
    <definedName name="TIRI">#REF!</definedName>
    <definedName name="VAN">#REF!</definedName>
    <definedName name="VANA">#REF!</definedName>
    <definedName name="Ventas">#REF!</definedName>
    <definedName name="Ventas_del_1er_año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2" l="1"/>
  <c r="B44" i="2" l="1"/>
  <c r="B45" i="2" s="1"/>
  <c r="B46" i="2" s="1"/>
  <c r="B47" i="2" s="1"/>
  <c r="B48" i="2" s="1"/>
  <c r="B49" i="2" s="1"/>
  <c r="B50" i="2" s="1"/>
  <c r="B51" i="2" s="1"/>
  <c r="B52" i="2" s="1"/>
  <c r="B53" i="2" s="1"/>
  <c r="K28" i="2" l="1"/>
  <c r="K27" i="2"/>
  <c r="K26" i="2" s="1"/>
  <c r="K29" i="2" s="1"/>
  <c r="K30" i="2" s="1"/>
  <c r="L10" i="2"/>
  <c r="P24" i="2"/>
  <c r="K31" i="2" l="1"/>
  <c r="L5" i="2"/>
  <c r="C28" i="2"/>
  <c r="E27" i="2"/>
  <c r="F27" i="2" s="1"/>
  <c r="H27" i="2" s="1"/>
  <c r="E26" i="2"/>
  <c r="G26" i="2" s="1"/>
  <c r="E25" i="2"/>
  <c r="M16" i="2"/>
  <c r="N16" i="2"/>
  <c r="O16" i="2"/>
  <c r="P16" i="2"/>
  <c r="L16" i="2"/>
  <c r="P8" i="2"/>
  <c r="O8" i="2"/>
  <c r="N8" i="2"/>
  <c r="M8" i="2"/>
  <c r="M11" i="2"/>
  <c r="N11" i="2"/>
  <c r="O11" i="2"/>
  <c r="P11" i="2"/>
  <c r="L11" i="2"/>
  <c r="M10" i="2"/>
  <c r="N10" i="2"/>
  <c r="O10" i="2"/>
  <c r="P10" i="2"/>
  <c r="L9" i="2"/>
  <c r="M9" i="2" s="1"/>
  <c r="L4" i="2"/>
  <c r="G25" i="2" l="1"/>
  <c r="F25" i="2"/>
  <c r="G27" i="2"/>
  <c r="E28" i="2"/>
  <c r="F26" i="2"/>
  <c r="H26" i="2" s="1"/>
  <c r="L6" i="2"/>
  <c r="L15" i="2"/>
  <c r="L14" i="2"/>
  <c r="L18" i="2" s="1"/>
  <c r="G28" i="2" l="1"/>
  <c r="P25" i="2" s="1"/>
  <c r="F28" i="2"/>
  <c r="H25" i="2"/>
  <c r="H28" i="2" s="1"/>
  <c r="P19" i="2"/>
  <c r="P23" i="2" s="1"/>
  <c r="L19" i="2"/>
  <c r="L23" i="2" s="1"/>
  <c r="M19" i="2"/>
  <c r="M23" i="2" s="1"/>
  <c r="N19" i="2"/>
  <c r="N23" i="2" s="1"/>
  <c r="O19" i="2"/>
  <c r="O23" i="2" s="1"/>
  <c r="N9" i="2"/>
  <c r="M14" i="2"/>
  <c r="M18" i="2" s="1"/>
  <c r="M15" i="2"/>
  <c r="L17" i="2"/>
  <c r="L20" i="2" l="1"/>
  <c r="L21" i="2" s="1"/>
  <c r="L22" i="2" s="1"/>
  <c r="L29" i="2" s="1"/>
  <c r="M17" i="2"/>
  <c r="M20" i="2" s="1"/>
  <c r="M21" i="2" s="1"/>
  <c r="M22" i="2" s="1"/>
  <c r="M29" i="2" s="1"/>
  <c r="M30" i="2" s="1"/>
  <c r="N14" i="2"/>
  <c r="N18" i="2" s="1"/>
  <c r="N15" i="2"/>
  <c r="O9" i="2"/>
  <c r="L30" i="2" l="1"/>
  <c r="P9" i="2"/>
  <c r="O14" i="2"/>
  <c r="O18" i="2" s="1"/>
  <c r="O15" i="2"/>
  <c r="N17" i="2"/>
  <c r="N20" i="2" s="1"/>
  <c r="N21" i="2" s="1"/>
  <c r="N22" i="2" s="1"/>
  <c r="N29" i="2" s="1"/>
  <c r="N30" i="2" s="1"/>
  <c r="M31" i="2" l="1"/>
  <c r="L31" i="2"/>
  <c r="N31" i="2"/>
  <c r="O17" i="2"/>
  <c r="O20" i="2" s="1"/>
  <c r="P15" i="2"/>
  <c r="P14" i="2"/>
  <c r="P18" i="2" s="1"/>
  <c r="O21" i="2" l="1"/>
  <c r="O22" i="2" s="1"/>
  <c r="O29" i="2" s="1"/>
  <c r="P17" i="2"/>
  <c r="P20" i="2" s="1"/>
  <c r="P21" i="2" s="1"/>
  <c r="P22" i="2" s="1"/>
  <c r="P29" i="2" s="1"/>
  <c r="P30" i="2" s="1"/>
  <c r="K34" i="2" l="1"/>
  <c r="K33" i="2"/>
  <c r="O30" i="2"/>
  <c r="C42" i="2" l="1"/>
  <c r="L35" i="2"/>
  <c r="K35" i="2"/>
  <c r="K36" i="2"/>
  <c r="K37" i="2" s="1"/>
  <c r="K38" i="2" s="1"/>
  <c r="O31" i="2"/>
  <c r="P31" i="2"/>
</calcChain>
</file>

<file path=xl/comments1.xml><?xml version="1.0" encoding="utf-8"?>
<comments xmlns="http://schemas.openxmlformats.org/spreadsheetml/2006/main">
  <authors>
    <author>Autor</author>
  </authors>
  <commentList>
    <comment ref="B41" authorId="0" shapeId="0">
      <text>
        <r>
          <rPr>
            <b/>
            <sz val="11"/>
            <color indexed="81"/>
            <rFont val="Tahoma"/>
            <family val="2"/>
          </rPr>
          <t>Autor:</t>
        </r>
        <r>
          <rPr>
            <sz val="11"/>
            <color indexed="81"/>
            <rFont val="Tahoma"/>
            <family val="2"/>
          </rPr>
          <t xml:space="preserve">
Para llenar la columna del VAN, dejo en blanco la del Ke y vinculo la del VAN, selecciono la tabla (menos los encabezados Ke, VAN), luego voy a datos--analisisi de hipot--tabla de datos--y marco la variable de entrada q esta en columnas (Ke)-- el que esta en los datos de arriba, aceptar y se llena la columna VAN
</t>
        </r>
      </text>
    </comment>
    <comment ref="C42" authorId="0" shapeId="0">
      <text>
        <r>
          <rPr>
            <b/>
            <sz val="11"/>
            <color indexed="81"/>
            <rFont val="Tahoma"/>
            <family val="2"/>
          </rPr>
          <t>Autor:</t>
        </r>
        <r>
          <rPr>
            <sz val="11"/>
            <color indexed="81"/>
            <rFont val="Tahoma"/>
            <family val="2"/>
          </rPr>
          <t xml:space="preserve">
para el grafico esta linea completa se oculta, aquí si selecciono toda la tabla con encabezado y todo, insertar--gráfico</t>
        </r>
      </text>
    </comment>
  </commentList>
</comments>
</file>

<file path=xl/sharedStrings.xml><?xml version="1.0" encoding="utf-8"?>
<sst xmlns="http://schemas.openxmlformats.org/spreadsheetml/2006/main" count="99" uniqueCount="76">
  <si>
    <t>Construcciones</t>
  </si>
  <si>
    <t>Muebles y enseres</t>
  </si>
  <si>
    <t>$/ud</t>
  </si>
  <si>
    <t>DETALLE</t>
  </si>
  <si>
    <t>VALOR</t>
  </si>
  <si>
    <t>UNIDAD</t>
  </si>
  <si>
    <t>$</t>
  </si>
  <si>
    <t>Ventas</t>
  </si>
  <si>
    <t>Utilidad Bruta</t>
  </si>
  <si>
    <t>Depreciación</t>
  </si>
  <si>
    <t>Impuestos</t>
  </si>
  <si>
    <t>UN</t>
  </si>
  <si>
    <t>FNE</t>
  </si>
  <si>
    <t>Total</t>
  </si>
  <si>
    <t>Datos</t>
  </si>
  <si>
    <t>Maquinaria</t>
  </si>
  <si>
    <t>Capital de trabajo</t>
  </si>
  <si>
    <t>Incremento Ventas 2</t>
  </si>
  <si>
    <t>Incremento Ventas 3</t>
  </si>
  <si>
    <t>Incremento Ventas 4</t>
  </si>
  <si>
    <t>Incremento Ventas 5</t>
  </si>
  <si>
    <t>CvU</t>
  </si>
  <si>
    <t>CF</t>
  </si>
  <si>
    <t>$/año</t>
  </si>
  <si>
    <t>Gastos Administración</t>
  </si>
  <si>
    <t>Impuesto Utilidades</t>
  </si>
  <si>
    <t>FLUJO DE EFECTIVO</t>
  </si>
  <si>
    <t>Costo AF</t>
  </si>
  <si>
    <t xml:space="preserve">Invers. KT </t>
  </si>
  <si>
    <t xml:space="preserve">Total </t>
  </si>
  <si>
    <t>a) Inversion Inicial (Io)</t>
  </si>
  <si>
    <t>ud/año</t>
  </si>
  <si>
    <t>Cuota de Mercado</t>
  </si>
  <si>
    <t>Demanda de mercado</t>
  </si>
  <si>
    <t>% Ingresos</t>
  </si>
  <si>
    <t>Cantidad de Unidades (Qv)</t>
  </si>
  <si>
    <t>Ud/año</t>
  </si>
  <si>
    <t>demanda x cuota</t>
  </si>
  <si>
    <t>Precio de Venta (Pv)</t>
  </si>
  <si>
    <t>CV</t>
  </si>
  <si>
    <t>% Crecimiento</t>
  </si>
  <si>
    <t>Qv</t>
  </si>
  <si>
    <t>Pv</t>
  </si>
  <si>
    <t>DEPRECIACIÓN</t>
  </si>
  <si>
    <t>VU</t>
  </si>
  <si>
    <t>VR</t>
  </si>
  <si>
    <t>VL</t>
  </si>
  <si>
    <t>DLR</t>
  </si>
  <si>
    <t>UAII</t>
  </si>
  <si>
    <t>Capital Trabajo</t>
  </si>
  <si>
    <t>Dep. Acum.</t>
  </si>
  <si>
    <t>Dep. Anual</t>
  </si>
  <si>
    <t>VSN</t>
  </si>
  <si>
    <t>Inversión Inicial (Io)</t>
  </si>
  <si>
    <t>Tasa de descuento (Ke)</t>
  </si>
  <si>
    <t>VAN</t>
  </si>
  <si>
    <t>TIR</t>
  </si>
  <si>
    <t>IR</t>
  </si>
  <si>
    <t>PRD</t>
  </si>
  <si>
    <t>IR=(VAN+Io)/Io</t>
  </si>
  <si>
    <t>IR=VA/Io</t>
  </si>
  <si>
    <t>FNE Actualizado (VP)</t>
  </si>
  <si>
    <t>FNE Act (VP) Acum.</t>
  </si>
  <si>
    <t>PRD= AAR+ (VP no recuperado ppio. Año/VP año en que se recupera)</t>
  </si>
  <si>
    <t>2 meses</t>
  </si>
  <si>
    <t>15 días</t>
  </si>
  <si>
    <t>Ke</t>
  </si>
  <si>
    <t>3 Años</t>
  </si>
  <si>
    <t>PERFIL DEL VAN</t>
  </si>
  <si>
    <t>ke</t>
  </si>
  <si>
    <t>Expectativa de rentabilidad máxima</t>
  </si>
  <si>
    <t xml:space="preserve">El proyecto se acepta, ya que el VAN &gt;0 </t>
  </si>
  <si>
    <t>De acuerdo al perfil del VAN el inversionista puede aumentar su expectativa de rentabilidad hasta un 40%</t>
  </si>
  <si>
    <t>Se recomienda realizar la inversión, puesto que el proyecto es rentable siempre y cuando la expectativa</t>
  </si>
  <si>
    <t>de rentabilidad no supere el 40%</t>
  </si>
  <si>
    <t>GAMA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</si>
</sst>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#,##0_ ;[Red]\-#,##0\ "/>
    <numFmt numFmtId="167" formatCode="0.000000"/>
    <numFmt numFmtId="168" formatCode="0.00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1"/>
      <name val="Tahoma"/>
      <family val="2"/>
    </font>
    <font>
      <b/>
      <sz val="11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5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4" borderId="0" applyNumberFormat="0" applyBorder="0" applyAlignment="0" applyProtection="0"/>
  </cellStyleXfs>
  <cellXfs count="44">
    <xf numFmtId="0" fontId="0" fillId="0" borderId="0" xfId="0"/>
    <xf numFmtId="0" fontId="2" fillId="0" borderId="0" xfId="0" applyFont="1"/>
    <xf numFmtId="166" fontId="0" fillId="0" borderId="0" xfId="0" applyNumberFormat="1"/>
    <xf numFmtId="166" fontId="2" fillId="0" borderId="0" xfId="0" applyNumberFormat="1" applyFont="1"/>
    <xf numFmtId="9" fontId="0" fillId="0" borderId="0" xfId="0" applyNumberFormat="1"/>
    <xf numFmtId="165" fontId="0" fillId="0" borderId="0" xfId="1" applyNumberFormat="1" applyFont="1"/>
    <xf numFmtId="164" fontId="0" fillId="0" borderId="0" xfId="1" applyNumberFormat="1" applyFont="1"/>
    <xf numFmtId="9" fontId="0" fillId="0" borderId="0" xfId="2" applyFont="1"/>
    <xf numFmtId="0" fontId="2" fillId="0" borderId="1" xfId="0" applyFont="1" applyBorder="1"/>
    <xf numFmtId="0" fontId="2" fillId="0" borderId="0" xfId="0" applyFont="1" applyFill="1" applyBorder="1"/>
    <xf numFmtId="164" fontId="0" fillId="0" borderId="0" xfId="0" applyNumberFormat="1"/>
    <xf numFmtId="0" fontId="2" fillId="0" borderId="1" xfId="0" applyFont="1" applyFill="1" applyBorder="1"/>
    <xf numFmtId="0" fontId="2" fillId="2" borderId="0" xfId="0" applyFont="1" applyFill="1"/>
    <xf numFmtId="0" fontId="0" fillId="0" borderId="0" xfId="0" applyFont="1" applyFill="1" applyBorder="1"/>
    <xf numFmtId="165" fontId="0" fillId="0" borderId="0" xfId="0" applyNumberFormat="1"/>
    <xf numFmtId="166" fontId="0" fillId="0" borderId="0" xfId="1" applyNumberFormat="1" applyFont="1"/>
    <xf numFmtId="0" fontId="0" fillId="0" borderId="1" xfId="0" applyFont="1" applyFill="1" applyBorder="1"/>
    <xf numFmtId="166" fontId="0" fillId="0" borderId="1" xfId="1" applyNumberFormat="1" applyFont="1" applyBorder="1"/>
    <xf numFmtId="166" fontId="1" fillId="0" borderId="0" xfId="1" applyNumberFormat="1" applyFont="1" applyAlignment="1">
      <alignment vertical="center"/>
    </xf>
    <xf numFmtId="166" fontId="2" fillId="0" borderId="0" xfId="1" applyNumberFormat="1" applyFont="1"/>
    <xf numFmtId="164" fontId="2" fillId="0" borderId="0" xfId="0" applyNumberFormat="1" applyFont="1"/>
    <xf numFmtId="166" fontId="0" fillId="0" borderId="1" xfId="0" applyNumberFormat="1" applyBorder="1"/>
    <xf numFmtId="0" fontId="2" fillId="0" borderId="2" xfId="0" applyFont="1" applyFill="1" applyBorder="1"/>
    <xf numFmtId="166" fontId="2" fillId="0" borderId="2" xfId="0" applyNumberFormat="1" applyFont="1" applyBorder="1"/>
    <xf numFmtId="164" fontId="2" fillId="0" borderId="0" xfId="1" applyNumberFormat="1" applyFont="1"/>
    <xf numFmtId="9" fontId="2" fillId="0" borderId="0" xfId="0" applyNumberFormat="1" applyFont="1"/>
    <xf numFmtId="166" fontId="2" fillId="0" borderId="2" xfId="1" applyNumberFormat="1" applyFont="1" applyBorder="1"/>
    <xf numFmtId="166" fontId="2" fillId="0" borderId="0" xfId="1" applyNumberFormat="1" applyFont="1" applyBorder="1"/>
    <xf numFmtId="166" fontId="2" fillId="0" borderId="0" xfId="0" applyNumberFormat="1" applyFont="1" applyBorder="1"/>
    <xf numFmtId="167" fontId="0" fillId="0" borderId="0" xfId="0" applyNumberFormat="1"/>
    <xf numFmtId="2" fontId="0" fillId="0" borderId="0" xfId="0" applyNumberFormat="1"/>
    <xf numFmtId="0" fontId="2" fillId="0" borderId="2" xfId="0" applyFont="1" applyBorder="1"/>
    <xf numFmtId="9" fontId="2" fillId="0" borderId="2" xfId="0" applyNumberFormat="1" applyFont="1" applyBorder="1"/>
    <xf numFmtId="0" fontId="2" fillId="0" borderId="0" xfId="0" applyFont="1" applyAlignment="1"/>
    <xf numFmtId="9" fontId="2" fillId="0" borderId="0" xfId="2" applyFont="1"/>
    <xf numFmtId="43" fontId="2" fillId="0" borderId="0" xfId="1" applyFont="1"/>
    <xf numFmtId="43" fontId="0" fillId="0" borderId="0" xfId="1" applyFont="1"/>
    <xf numFmtId="168" fontId="2" fillId="0" borderId="0" xfId="0" applyNumberFormat="1" applyFont="1"/>
    <xf numFmtId="164" fontId="2" fillId="2" borderId="0" xfId="1" applyNumberFormat="1" applyFont="1" applyFill="1"/>
    <xf numFmtId="9" fontId="0" fillId="3" borderId="0" xfId="0" applyNumberFormat="1" applyFill="1"/>
    <xf numFmtId="9" fontId="2" fillId="0" borderId="1" xfId="0" applyNumberFormat="1" applyFont="1" applyBorder="1"/>
    <xf numFmtId="166" fontId="2" fillId="0" borderId="1" xfId="0" applyNumberFormat="1" applyFont="1" applyBorder="1"/>
    <xf numFmtId="0" fontId="1" fillId="4" borderId="0" xfId="3"/>
    <xf numFmtId="0" fontId="2" fillId="0" borderId="0" xfId="0" applyFont="1" applyAlignment="1">
      <alignment horizontal="center"/>
    </xf>
  </cellXfs>
  <cellStyles count="4">
    <cellStyle name="20% - Énfasis4" xfId="3" builtinId="42"/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12FE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PERFIL</a:t>
            </a:r>
            <a:r>
              <a:rPr lang="en-US" b="1" baseline="0"/>
              <a:t> </a:t>
            </a:r>
            <a:r>
              <a:rPr lang="en-US" b="1"/>
              <a:t>DEL VAN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FC!$C$41</c:f>
              <c:strCache>
                <c:ptCount val="1"/>
                <c:pt idx="0">
                  <c:v>VAN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FC!$B$42:$B$53</c:f>
              <c:numCache>
                <c:formatCode>0%</c:formatCode>
                <c:ptCount val="12"/>
                <c:pt idx="1">
                  <c:v>0</c:v>
                </c:pt>
                <c:pt idx="2">
                  <c:v>0.1</c:v>
                </c:pt>
                <c:pt idx="3">
                  <c:v>0.2</c:v>
                </c:pt>
                <c:pt idx="4">
                  <c:v>0.30000000000000004</c:v>
                </c:pt>
                <c:pt idx="5">
                  <c:v>0.4</c:v>
                </c:pt>
                <c:pt idx="6">
                  <c:v>0.5</c:v>
                </c:pt>
                <c:pt idx="7">
                  <c:v>0.6</c:v>
                </c:pt>
                <c:pt idx="8">
                  <c:v>0.7</c:v>
                </c:pt>
                <c:pt idx="9">
                  <c:v>0.79999999999999993</c:v>
                </c:pt>
                <c:pt idx="10">
                  <c:v>0.89999999999999991</c:v>
                </c:pt>
                <c:pt idx="11">
                  <c:v>0.99999999999999989</c:v>
                </c:pt>
              </c:numCache>
            </c:numRef>
          </c:xVal>
          <c:yVal>
            <c:numRef>
              <c:f>FC!$C$42:$C$53</c:f>
              <c:numCache>
                <c:formatCode>#,##0_ ;[Red]\-#,##0\ </c:formatCode>
                <c:ptCount val="12"/>
                <c:pt idx="0">
                  <c:v>132309.15016493067</c:v>
                </c:pt>
                <c:pt idx="1">
                  <c:v>313645.53000000003</c:v>
                </c:pt>
                <c:pt idx="2">
                  <c:v>179349.7851612221</c:v>
                </c:pt>
                <c:pt idx="3">
                  <c:v>94360.287262088503</c:v>
                </c:pt>
                <c:pt idx="4">
                  <c:v>37814.026254198136</c:v>
                </c:pt>
                <c:pt idx="5">
                  <c:v>-1433.1733057654346</c:v>
                </c:pt>
                <c:pt idx="6">
                  <c:v>-29674.424032921816</c:v>
                </c:pt>
                <c:pt idx="7">
                  <c:v>-50636.452674865723</c:v>
                </c:pt>
                <c:pt idx="8">
                  <c:v>-66618.845947162277</c:v>
                </c:pt>
                <c:pt idx="9">
                  <c:v>-79092.481985300314</c:v>
                </c:pt>
                <c:pt idx="10">
                  <c:v>-89028.432930185721</c:v>
                </c:pt>
                <c:pt idx="11">
                  <c:v>-97086.061562500006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231-405A-944A-6A1973A8BB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4322192"/>
        <c:axId val="1944316368"/>
      </c:scatterChart>
      <c:valAx>
        <c:axId val="19443221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Ke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44316368"/>
        <c:crosses val="autoZero"/>
        <c:crossBetween val="midCat"/>
      </c:valAx>
      <c:valAx>
        <c:axId val="1944316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VAV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_ ;[Red]\-#,##0\ 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443221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266699</xdr:colOff>
      <xdr:row>37</xdr:row>
      <xdr:rowOff>80962</xdr:rowOff>
    </xdr:from>
    <xdr:to>
      <xdr:col>10</xdr:col>
      <xdr:colOff>9525</xdr:colOff>
      <xdr:row>53</xdr:row>
      <xdr:rowOff>142875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B1:R62"/>
  <sheetViews>
    <sheetView tabSelected="1" workbookViewId="0">
      <selection activeCell="F6" sqref="F6"/>
    </sheetView>
  </sheetViews>
  <sheetFormatPr baseColWidth="10" defaultRowHeight="15" x14ac:dyDescent="0.25"/>
  <cols>
    <col min="2" max="2" width="24.85546875" bestFit="1" customWidth="1"/>
    <col min="3" max="3" width="13.140625" bestFit="1" customWidth="1"/>
    <col min="4" max="4" width="8.28515625" bestFit="1" customWidth="1"/>
    <col min="5" max="5" width="16.140625" bestFit="1" customWidth="1"/>
    <col min="6" max="6" width="11.140625" bestFit="1" customWidth="1"/>
    <col min="9" max="9" width="4.42578125" customWidth="1"/>
    <col min="10" max="10" width="20.85546875" bestFit="1" customWidth="1"/>
    <col min="11" max="11" width="21" bestFit="1" customWidth="1"/>
    <col min="12" max="12" width="17.7109375" bestFit="1" customWidth="1"/>
  </cols>
  <sheetData>
    <row r="1" spans="2:16" x14ac:dyDescent="0.25">
      <c r="B1" s="1" t="s">
        <v>75</v>
      </c>
      <c r="J1" s="1" t="s">
        <v>26</v>
      </c>
      <c r="K1" s="1"/>
    </row>
    <row r="2" spans="2:16" x14ac:dyDescent="0.25">
      <c r="B2" s="1" t="s">
        <v>14</v>
      </c>
      <c r="J2" s="1" t="s">
        <v>30</v>
      </c>
      <c r="K2" s="1"/>
    </row>
    <row r="3" spans="2:16" ht="15.75" thickBot="1" x14ac:dyDescent="0.3">
      <c r="B3" s="8" t="s">
        <v>3</v>
      </c>
      <c r="C3" s="8" t="s">
        <v>4</v>
      </c>
      <c r="D3" s="8" t="s">
        <v>5</v>
      </c>
      <c r="J3" s="8" t="s">
        <v>3</v>
      </c>
      <c r="K3" s="8"/>
      <c r="L3" s="8" t="s">
        <v>4</v>
      </c>
      <c r="M3" s="8" t="s">
        <v>5</v>
      </c>
    </row>
    <row r="4" spans="2:16" x14ac:dyDescent="0.25">
      <c r="B4" t="s">
        <v>15</v>
      </c>
      <c r="C4" s="6">
        <v>100000</v>
      </c>
      <c r="D4" t="s">
        <v>6</v>
      </c>
      <c r="J4" s="13" t="s">
        <v>27</v>
      </c>
      <c r="K4" s="13"/>
      <c r="L4" s="10">
        <f>SUM(C4:C6)</f>
        <v>125000</v>
      </c>
      <c r="M4" t="s">
        <v>6</v>
      </c>
    </row>
    <row r="5" spans="2:16" x14ac:dyDescent="0.25">
      <c r="B5" t="s">
        <v>0</v>
      </c>
      <c r="C5" s="6">
        <v>20000</v>
      </c>
      <c r="D5" t="s">
        <v>6</v>
      </c>
      <c r="J5" s="13" t="s">
        <v>28</v>
      </c>
      <c r="K5" s="13"/>
      <c r="L5" s="10">
        <f>$C$7</f>
        <v>42000</v>
      </c>
      <c r="M5" t="s">
        <v>6</v>
      </c>
    </row>
    <row r="6" spans="2:16" x14ac:dyDescent="0.25">
      <c r="B6" t="s">
        <v>1</v>
      </c>
      <c r="C6" s="6">
        <v>5000</v>
      </c>
      <c r="D6" t="s">
        <v>6</v>
      </c>
      <c r="J6" s="9" t="s">
        <v>29</v>
      </c>
      <c r="K6" s="9"/>
      <c r="L6" s="20">
        <f>SUM(L4:L5)</f>
        <v>167000</v>
      </c>
      <c r="M6" t="s">
        <v>6</v>
      </c>
    </row>
    <row r="7" spans="2:16" x14ac:dyDescent="0.25">
      <c r="B7" t="s">
        <v>16</v>
      </c>
      <c r="C7" s="6">
        <v>42000</v>
      </c>
      <c r="D7" t="s">
        <v>6</v>
      </c>
    </row>
    <row r="8" spans="2:16" x14ac:dyDescent="0.25">
      <c r="B8" t="s">
        <v>33</v>
      </c>
      <c r="C8" s="6">
        <v>25000</v>
      </c>
      <c r="D8" t="s">
        <v>31</v>
      </c>
      <c r="J8" s="9" t="s">
        <v>40</v>
      </c>
      <c r="K8" s="9"/>
      <c r="M8" s="4">
        <f>$C$12</f>
        <v>0.1</v>
      </c>
      <c r="N8" s="4">
        <f>$C$13</f>
        <v>0.1</v>
      </c>
      <c r="O8" s="4">
        <f>$C$14</f>
        <v>0.06</v>
      </c>
      <c r="P8" s="4">
        <f>$C$15</f>
        <v>0.06</v>
      </c>
    </row>
    <row r="9" spans="2:16" x14ac:dyDescent="0.25">
      <c r="B9" t="s">
        <v>32</v>
      </c>
      <c r="C9" s="7">
        <v>0.6</v>
      </c>
      <c r="J9" s="9" t="s">
        <v>41</v>
      </c>
      <c r="K9" s="9"/>
      <c r="L9" s="6">
        <f>C10</f>
        <v>15000</v>
      </c>
      <c r="M9" s="6">
        <f>L9*(1+C12)</f>
        <v>16500</v>
      </c>
      <c r="N9" s="6">
        <f>M9*(1+N8)</f>
        <v>18150</v>
      </c>
      <c r="O9" s="6">
        <f t="shared" ref="O9:P9" si="0">N9*(1+O8)</f>
        <v>19239</v>
      </c>
      <c r="P9" s="6">
        <f t="shared" si="0"/>
        <v>20393.34</v>
      </c>
    </row>
    <row r="10" spans="2:16" x14ac:dyDescent="0.25">
      <c r="B10" s="42" t="s">
        <v>35</v>
      </c>
      <c r="C10" s="6">
        <f>C8*C9</f>
        <v>15000</v>
      </c>
      <c r="D10" t="s">
        <v>36</v>
      </c>
      <c r="E10" s="12" t="s">
        <v>37</v>
      </c>
      <c r="J10" s="9" t="s">
        <v>42</v>
      </c>
      <c r="K10" s="9"/>
      <c r="L10" s="6">
        <f>$C$11</f>
        <v>15</v>
      </c>
      <c r="M10" s="6">
        <f t="shared" ref="M10:P10" si="1">$C$11</f>
        <v>15</v>
      </c>
      <c r="N10" s="6">
        <f t="shared" si="1"/>
        <v>15</v>
      </c>
      <c r="O10" s="6">
        <f t="shared" si="1"/>
        <v>15</v>
      </c>
      <c r="P10" s="6">
        <f t="shared" si="1"/>
        <v>15</v>
      </c>
    </row>
    <row r="11" spans="2:16" x14ac:dyDescent="0.25">
      <c r="B11" s="42" t="s">
        <v>38</v>
      </c>
      <c r="C11" s="6">
        <v>15</v>
      </c>
      <c r="D11" t="s">
        <v>2</v>
      </c>
      <c r="J11" s="9" t="s">
        <v>21</v>
      </c>
      <c r="K11" s="9"/>
      <c r="L11" s="14">
        <f>$C$16</f>
        <v>7.5</v>
      </c>
      <c r="M11" s="14">
        <f t="shared" ref="M11:P11" si="2">$C$16</f>
        <v>7.5</v>
      </c>
      <c r="N11" s="14">
        <f t="shared" si="2"/>
        <v>7.5</v>
      </c>
      <c r="O11" s="14">
        <f t="shared" si="2"/>
        <v>7.5</v>
      </c>
      <c r="P11" s="14">
        <f t="shared" si="2"/>
        <v>7.5</v>
      </c>
    </row>
    <row r="12" spans="2:16" x14ac:dyDescent="0.25">
      <c r="B12" t="s">
        <v>17</v>
      </c>
      <c r="C12" s="7">
        <v>0.1</v>
      </c>
    </row>
    <row r="13" spans="2:16" ht="15.75" thickBot="1" x14ac:dyDescent="0.3">
      <c r="B13" t="s">
        <v>18</v>
      </c>
      <c r="C13" s="7">
        <v>0.1</v>
      </c>
      <c r="F13" s="2"/>
      <c r="J13" s="11" t="s">
        <v>3</v>
      </c>
      <c r="K13" s="11">
        <v>0</v>
      </c>
      <c r="L13" s="8">
        <v>1</v>
      </c>
      <c r="M13" s="8">
        <v>2</v>
      </c>
      <c r="N13" s="8">
        <v>3</v>
      </c>
      <c r="O13" s="8">
        <v>4</v>
      </c>
      <c r="P13" s="8">
        <v>5</v>
      </c>
    </row>
    <row r="14" spans="2:16" x14ac:dyDescent="0.25">
      <c r="B14" t="s">
        <v>19</v>
      </c>
      <c r="C14" s="7">
        <v>0.06</v>
      </c>
      <c r="F14" s="2"/>
      <c r="J14" s="13" t="s">
        <v>7</v>
      </c>
      <c r="K14" s="13"/>
      <c r="L14" s="18">
        <f>L9*L10</f>
        <v>225000</v>
      </c>
      <c r="M14" s="18">
        <f t="shared" ref="M14:P14" si="3">M9*M10</f>
        <v>247500</v>
      </c>
      <c r="N14" s="18">
        <f t="shared" si="3"/>
        <v>272250</v>
      </c>
      <c r="O14" s="18">
        <f t="shared" si="3"/>
        <v>288585</v>
      </c>
      <c r="P14" s="18">
        <f t="shared" si="3"/>
        <v>305900.09999999998</v>
      </c>
    </row>
    <row r="15" spans="2:16" x14ac:dyDescent="0.25">
      <c r="B15" t="s">
        <v>20</v>
      </c>
      <c r="C15" s="7">
        <v>0.06</v>
      </c>
      <c r="F15" s="2"/>
      <c r="J15" s="13" t="s">
        <v>39</v>
      </c>
      <c r="K15" s="13"/>
      <c r="L15" s="15">
        <f>-(L9*L11)</f>
        <v>-112500</v>
      </c>
      <c r="M15" s="15">
        <f t="shared" ref="M15:P15" si="4">-(M9*M11)</f>
        <v>-123750</v>
      </c>
      <c r="N15" s="15">
        <f t="shared" si="4"/>
        <v>-136125</v>
      </c>
      <c r="O15" s="15">
        <f t="shared" si="4"/>
        <v>-144292.5</v>
      </c>
      <c r="P15" s="15">
        <f t="shared" si="4"/>
        <v>-152950.04999999999</v>
      </c>
    </row>
    <row r="16" spans="2:16" ht="15.75" thickBot="1" x14ac:dyDescent="0.3">
      <c r="B16" s="42" t="s">
        <v>21</v>
      </c>
      <c r="C16" s="5">
        <v>7.5</v>
      </c>
      <c r="D16" t="s">
        <v>2</v>
      </c>
      <c r="F16" s="2"/>
      <c r="J16" s="16" t="s">
        <v>22</v>
      </c>
      <c r="K16" s="16"/>
      <c r="L16" s="17">
        <f>-$C$17</f>
        <v>-10000</v>
      </c>
      <c r="M16" s="17">
        <f t="shared" ref="M16:P16" si="5">-$C$17</f>
        <v>-10000</v>
      </c>
      <c r="N16" s="17">
        <f t="shared" si="5"/>
        <v>-10000</v>
      </c>
      <c r="O16" s="17">
        <f t="shared" si="5"/>
        <v>-10000</v>
      </c>
      <c r="P16" s="17">
        <f t="shared" si="5"/>
        <v>-10000</v>
      </c>
    </row>
    <row r="17" spans="2:16" x14ac:dyDescent="0.25">
      <c r="B17" s="42" t="s">
        <v>22</v>
      </c>
      <c r="C17" s="6">
        <v>10000</v>
      </c>
      <c r="D17" t="s">
        <v>23</v>
      </c>
      <c r="J17" s="9" t="s">
        <v>8</v>
      </c>
      <c r="K17" s="9"/>
      <c r="L17" s="19">
        <f>SUM(L14:L16)</f>
        <v>102500</v>
      </c>
      <c r="M17" s="19">
        <f t="shared" ref="M17:P17" si="6">SUM(M14:M16)</f>
        <v>113750</v>
      </c>
      <c r="N17" s="19">
        <f t="shared" si="6"/>
        <v>126125</v>
      </c>
      <c r="O17" s="19">
        <f t="shared" si="6"/>
        <v>134292.5</v>
      </c>
      <c r="P17" s="19">
        <f t="shared" si="6"/>
        <v>142950.04999999999</v>
      </c>
    </row>
    <row r="18" spans="2:16" x14ac:dyDescent="0.25">
      <c r="B18" s="42" t="s">
        <v>24</v>
      </c>
      <c r="C18" s="7">
        <v>0.1</v>
      </c>
      <c r="E18" t="s">
        <v>34</v>
      </c>
      <c r="J18" s="13" t="s">
        <v>24</v>
      </c>
      <c r="K18" s="13"/>
      <c r="L18" s="15">
        <f>-(L14*$C$18)</f>
        <v>-22500</v>
      </c>
      <c r="M18" s="15">
        <f t="shared" ref="M18:P18" si="7">-(M14*$C$18)</f>
        <v>-24750</v>
      </c>
      <c r="N18" s="15">
        <f t="shared" si="7"/>
        <v>-27225</v>
      </c>
      <c r="O18" s="15">
        <f t="shared" si="7"/>
        <v>-28858.5</v>
      </c>
      <c r="P18" s="15">
        <f t="shared" si="7"/>
        <v>-30590.01</v>
      </c>
    </row>
    <row r="19" spans="2:16" ht="15.75" thickBot="1" x14ac:dyDescent="0.3">
      <c r="B19" s="42" t="s">
        <v>54</v>
      </c>
      <c r="C19" s="7">
        <v>0.15</v>
      </c>
      <c r="J19" s="16" t="s">
        <v>9</v>
      </c>
      <c r="K19" s="16"/>
      <c r="L19" s="17">
        <f>-($E$28)</f>
        <v>-13500</v>
      </c>
      <c r="M19" s="17">
        <f t="shared" ref="M19:P19" si="8">-($E$28)</f>
        <v>-13500</v>
      </c>
      <c r="N19" s="17">
        <f t="shared" si="8"/>
        <v>-13500</v>
      </c>
      <c r="O19" s="17">
        <f t="shared" si="8"/>
        <v>-13500</v>
      </c>
      <c r="P19" s="17">
        <f t="shared" si="8"/>
        <v>-13500</v>
      </c>
    </row>
    <row r="20" spans="2:16" x14ac:dyDescent="0.25">
      <c r="B20" t="s">
        <v>25</v>
      </c>
      <c r="C20" s="7">
        <v>0.25</v>
      </c>
      <c r="J20" s="9" t="s">
        <v>48</v>
      </c>
      <c r="K20" s="9"/>
      <c r="L20" s="19">
        <f>SUM(L17:L19)</f>
        <v>66500</v>
      </c>
      <c r="M20" s="19">
        <f t="shared" ref="M20:P20" si="9">SUM(M17:M19)</f>
        <v>75500</v>
      </c>
      <c r="N20" s="19">
        <f t="shared" si="9"/>
        <v>85400</v>
      </c>
      <c r="O20" s="19">
        <f t="shared" si="9"/>
        <v>91934</v>
      </c>
      <c r="P20" s="19">
        <f t="shared" si="9"/>
        <v>98860.04</v>
      </c>
    </row>
    <row r="21" spans="2:16" ht="15.75" thickBot="1" x14ac:dyDescent="0.3">
      <c r="B21" t="s">
        <v>47</v>
      </c>
      <c r="J21" s="16" t="s">
        <v>10</v>
      </c>
      <c r="K21" s="16"/>
      <c r="L21" s="21">
        <f>L20*$C$20</f>
        <v>16625</v>
      </c>
      <c r="M21" s="21">
        <f t="shared" ref="M21:P21" si="10">M20*$C$20</f>
        <v>18875</v>
      </c>
      <c r="N21" s="21">
        <f t="shared" si="10"/>
        <v>21350</v>
      </c>
      <c r="O21" s="21">
        <f t="shared" si="10"/>
        <v>22983.5</v>
      </c>
      <c r="P21" s="21">
        <f t="shared" si="10"/>
        <v>24715.01</v>
      </c>
    </row>
    <row r="22" spans="2:16" ht="15.75" thickBot="1" x14ac:dyDescent="0.3">
      <c r="J22" s="22" t="s">
        <v>11</v>
      </c>
      <c r="K22" s="22"/>
      <c r="L22" s="23">
        <f>L20-L21</f>
        <v>49875</v>
      </c>
      <c r="M22" s="23">
        <f t="shared" ref="M22:P22" si="11">M20-M21</f>
        <v>56625</v>
      </c>
      <c r="N22" s="23">
        <f t="shared" si="11"/>
        <v>64050</v>
      </c>
      <c r="O22" s="23">
        <f t="shared" si="11"/>
        <v>68950.5</v>
      </c>
      <c r="P22" s="23">
        <f t="shared" si="11"/>
        <v>74145.03</v>
      </c>
    </row>
    <row r="23" spans="2:16" x14ac:dyDescent="0.25">
      <c r="B23" s="1" t="s">
        <v>43</v>
      </c>
      <c r="J23" s="13" t="s">
        <v>9</v>
      </c>
      <c r="K23" s="13"/>
      <c r="L23" s="2">
        <f>ABS(L19)</f>
        <v>13500</v>
      </c>
      <c r="M23" s="2">
        <f t="shared" ref="M23:P23" si="12">ABS(M19)</f>
        <v>13500</v>
      </c>
      <c r="N23" s="2">
        <f t="shared" si="12"/>
        <v>13500</v>
      </c>
      <c r="O23" s="2">
        <f t="shared" si="12"/>
        <v>13500</v>
      </c>
      <c r="P23" s="2">
        <f t="shared" si="12"/>
        <v>13500</v>
      </c>
    </row>
    <row r="24" spans="2:16" ht="15.75" thickBot="1" x14ac:dyDescent="0.3">
      <c r="B24" s="8" t="s">
        <v>3</v>
      </c>
      <c r="C24" s="8" t="s">
        <v>4</v>
      </c>
      <c r="D24" s="8" t="s">
        <v>44</v>
      </c>
      <c r="E24" s="11" t="s">
        <v>51</v>
      </c>
      <c r="F24" s="11" t="s">
        <v>50</v>
      </c>
      <c r="G24" s="11" t="s">
        <v>45</v>
      </c>
      <c r="H24" s="11" t="s">
        <v>46</v>
      </c>
      <c r="I24" s="9"/>
      <c r="J24" s="13" t="s">
        <v>49</v>
      </c>
      <c r="K24" s="13"/>
      <c r="L24" s="2"/>
      <c r="M24" s="2"/>
      <c r="N24" s="2"/>
      <c r="O24" s="2"/>
      <c r="P24" s="2">
        <f>C7</f>
        <v>42000</v>
      </c>
    </row>
    <row r="25" spans="2:16" x14ac:dyDescent="0.25">
      <c r="B25" t="s">
        <v>15</v>
      </c>
      <c r="C25" s="6">
        <v>100000</v>
      </c>
      <c r="D25">
        <v>8</v>
      </c>
      <c r="E25" s="10">
        <f>C25/D25</f>
        <v>12500</v>
      </c>
      <c r="F25" s="10">
        <f>E25*5</f>
        <v>62500</v>
      </c>
      <c r="G25" s="10">
        <f>E25*3</f>
        <v>37500</v>
      </c>
      <c r="H25" s="10">
        <f>C25-F25</f>
        <v>37500</v>
      </c>
      <c r="I25" s="10"/>
      <c r="J25" s="13" t="s">
        <v>52</v>
      </c>
      <c r="K25" s="13"/>
      <c r="L25" s="2"/>
      <c r="M25" s="2"/>
      <c r="N25" s="2"/>
      <c r="O25" s="2"/>
      <c r="P25" s="2">
        <f>G28</f>
        <v>57500</v>
      </c>
    </row>
    <row r="26" spans="2:16" x14ac:dyDescent="0.25">
      <c r="B26" t="s">
        <v>0</v>
      </c>
      <c r="C26" s="6">
        <v>20000</v>
      </c>
      <c r="D26">
        <v>40</v>
      </c>
      <c r="E26" s="10">
        <f>C26/D26</f>
        <v>500</v>
      </c>
      <c r="F26" s="10">
        <f>E26*5</f>
        <v>2500</v>
      </c>
      <c r="G26" s="10">
        <f>E26*35</f>
        <v>17500</v>
      </c>
      <c r="H26" s="10">
        <f>C26-F26</f>
        <v>17500</v>
      </c>
      <c r="I26" s="10"/>
      <c r="J26" s="9" t="s">
        <v>53</v>
      </c>
      <c r="K26" s="3">
        <f>SUM(K27:K28)</f>
        <v>-167000</v>
      </c>
      <c r="L26" s="3"/>
      <c r="M26" s="3"/>
      <c r="N26" s="3"/>
      <c r="O26" s="3"/>
      <c r="P26" s="3"/>
    </row>
    <row r="27" spans="2:16" x14ac:dyDescent="0.25">
      <c r="B27" t="s">
        <v>1</v>
      </c>
      <c r="C27" s="6">
        <v>5000</v>
      </c>
      <c r="D27">
        <v>10</v>
      </c>
      <c r="E27" s="10">
        <f>C27/D27</f>
        <v>500</v>
      </c>
      <c r="F27" s="10">
        <f t="shared" ref="F27" si="13">E27*5</f>
        <v>2500</v>
      </c>
      <c r="G27" s="10">
        <f>E27*5</f>
        <v>2500</v>
      </c>
      <c r="H27" s="10">
        <f>C27-F27</f>
        <v>2500</v>
      </c>
      <c r="I27" s="10"/>
      <c r="J27" s="13" t="s">
        <v>27</v>
      </c>
      <c r="K27" s="2">
        <f>-SUM(C4:C6)</f>
        <v>-125000</v>
      </c>
    </row>
    <row r="28" spans="2:16" ht="15.75" thickBot="1" x14ac:dyDescent="0.3">
      <c r="B28" s="1" t="s">
        <v>13</v>
      </c>
      <c r="C28" s="20">
        <f>SUM(C25:C27)</f>
        <v>125000</v>
      </c>
      <c r="D28" s="20"/>
      <c r="E28" s="20">
        <f t="shared" ref="E28:H28" si="14">SUM(E25:E27)</f>
        <v>13500</v>
      </c>
      <c r="F28" s="20">
        <f t="shared" si="14"/>
        <v>67500</v>
      </c>
      <c r="G28" s="20">
        <f t="shared" si="14"/>
        <v>57500</v>
      </c>
      <c r="H28" s="20">
        <f t="shared" si="14"/>
        <v>57500</v>
      </c>
      <c r="I28" s="20"/>
      <c r="J28" s="13" t="s">
        <v>28</v>
      </c>
      <c r="K28" s="2">
        <f>-C7</f>
        <v>-42000</v>
      </c>
    </row>
    <row r="29" spans="2:16" ht="15.75" thickBot="1" x14ac:dyDescent="0.3">
      <c r="J29" s="22" t="s">
        <v>12</v>
      </c>
      <c r="K29" s="26">
        <f t="shared" ref="K29:P29" si="15">SUM(K22:K26)</f>
        <v>-167000</v>
      </c>
      <c r="L29" s="23">
        <f>SUM(L22:L26)</f>
        <v>63375</v>
      </c>
      <c r="M29" s="23">
        <f t="shared" si="15"/>
        <v>70125</v>
      </c>
      <c r="N29" s="23">
        <f t="shared" si="15"/>
        <v>77550</v>
      </c>
      <c r="O29" s="23">
        <f t="shared" si="15"/>
        <v>82450.5</v>
      </c>
      <c r="P29" s="23">
        <f t="shared" si="15"/>
        <v>187145.03</v>
      </c>
    </row>
    <row r="30" spans="2:16" x14ac:dyDescent="0.25">
      <c r="J30" s="9" t="s">
        <v>61</v>
      </c>
      <c r="K30" s="27">
        <f>K29</f>
        <v>-167000</v>
      </c>
      <c r="L30" s="28">
        <f>PV($C$19,L13,,-L29)</f>
        <v>55108.695652173919</v>
      </c>
      <c r="M30" s="28">
        <f t="shared" ref="M30:P30" si="16">PV($C$19,M13,,-M29)</f>
        <v>53024.574669187154</v>
      </c>
      <c r="N30" s="28">
        <f t="shared" si="16"/>
        <v>50990.383825100696</v>
      </c>
      <c r="O30" s="28">
        <f t="shared" si="16"/>
        <v>47141.340975768398</v>
      </c>
      <c r="P30" s="28">
        <f t="shared" si="16"/>
        <v>93044.155042700513</v>
      </c>
    </row>
    <row r="31" spans="2:16" x14ac:dyDescent="0.25">
      <c r="J31" s="9" t="s">
        <v>62</v>
      </c>
      <c r="K31" s="27">
        <f>SUM($K$30:K30)</f>
        <v>-167000</v>
      </c>
      <c r="L31" s="27">
        <f>SUM($K$30:L30)</f>
        <v>-111891.30434782608</v>
      </c>
      <c r="M31" s="27">
        <f>SUM($K$30:M30)</f>
        <v>-58866.729678638927</v>
      </c>
      <c r="N31" s="27">
        <f>SUM($K$30:N30)</f>
        <v>-7876.3458535382306</v>
      </c>
      <c r="O31" s="27">
        <f>SUM($K$30:O30)</f>
        <v>39264.995122230168</v>
      </c>
      <c r="P31" s="27">
        <f>SUM($K$30:P30)</f>
        <v>132309.15016493067</v>
      </c>
    </row>
    <row r="32" spans="2:16" x14ac:dyDescent="0.25">
      <c r="B32" s="33"/>
      <c r="C32" s="33"/>
      <c r="J32" s="9"/>
      <c r="K32" s="27"/>
      <c r="L32" s="28"/>
      <c r="M32" s="28"/>
      <c r="N32" s="28"/>
      <c r="O32" s="28"/>
      <c r="P32" s="28"/>
    </row>
    <row r="33" spans="2:18" x14ac:dyDescent="0.25">
      <c r="J33" s="9" t="s">
        <v>55</v>
      </c>
      <c r="K33" s="24">
        <f>NPV(C19,L29:P29)+K29</f>
        <v>132309.15016493067</v>
      </c>
    </row>
    <row r="34" spans="2:18" x14ac:dyDescent="0.25">
      <c r="J34" s="1" t="s">
        <v>56</v>
      </c>
      <c r="K34" s="34">
        <f>IRR(K29:P29)</f>
        <v>0.39568254398239544</v>
      </c>
      <c r="L34" s="6"/>
    </row>
    <row r="35" spans="2:18" x14ac:dyDescent="0.25">
      <c r="B35" s="4"/>
      <c r="C35" s="2"/>
      <c r="J35" s="1" t="s">
        <v>57</v>
      </c>
      <c r="K35" s="35">
        <f>SUM(L30:P30)/-K30</f>
        <v>1.792270360269046</v>
      </c>
      <c r="L35" s="36">
        <f>(K33-K29)/-K29</f>
        <v>1.792270360269046</v>
      </c>
    </row>
    <row r="36" spans="2:18" x14ac:dyDescent="0.25">
      <c r="B36" s="4"/>
      <c r="C36" s="2"/>
      <c r="J36" s="1" t="s">
        <v>58</v>
      </c>
      <c r="K36" s="37">
        <f>N13+(-N31/O30)</f>
        <v>3.1670793764137262</v>
      </c>
      <c r="L36" s="30" t="s">
        <v>67</v>
      </c>
      <c r="M36" s="38" t="s">
        <v>59</v>
      </c>
      <c r="N36" s="12"/>
      <c r="O36" s="38" t="s">
        <v>60</v>
      </c>
    </row>
    <row r="37" spans="2:18" x14ac:dyDescent="0.25">
      <c r="B37" s="4"/>
      <c r="C37" s="2"/>
      <c r="J37" s="1"/>
      <c r="K37" s="1">
        <f>(K36-3)*12</f>
        <v>2.004952516964714</v>
      </c>
      <c r="L37" s="30" t="s">
        <v>64</v>
      </c>
      <c r="M37" s="12" t="s">
        <v>63</v>
      </c>
      <c r="N37" s="12"/>
      <c r="O37" s="12"/>
      <c r="P37" s="12"/>
      <c r="Q37" s="12"/>
      <c r="R37" s="12"/>
    </row>
    <row r="38" spans="2:18" x14ac:dyDescent="0.25">
      <c r="B38" s="4"/>
      <c r="C38" s="2"/>
      <c r="K38" s="1">
        <f>(K37-2)*30</f>
        <v>0.1485755089414198</v>
      </c>
      <c r="L38" t="s">
        <v>65</v>
      </c>
      <c r="M38" s="29"/>
    </row>
    <row r="39" spans="2:18" x14ac:dyDescent="0.25">
      <c r="B39" s="25" t="s">
        <v>68</v>
      </c>
      <c r="C39" s="2"/>
      <c r="M39" s="30"/>
    </row>
    <row r="40" spans="2:18" x14ac:dyDescent="0.25">
      <c r="B40" s="4"/>
      <c r="C40" s="2"/>
      <c r="K40" s="27"/>
      <c r="M40" s="30"/>
    </row>
    <row r="41" spans="2:18" ht="15.75" thickBot="1" x14ac:dyDescent="0.3">
      <c r="B41" s="40" t="s">
        <v>69</v>
      </c>
      <c r="C41" s="41" t="s">
        <v>55</v>
      </c>
    </row>
    <row r="42" spans="2:18" x14ac:dyDescent="0.25">
      <c r="B42" s="39"/>
      <c r="C42" s="2">
        <f>K33</f>
        <v>132309.15016493067</v>
      </c>
    </row>
    <row r="43" spans="2:18" x14ac:dyDescent="0.25">
      <c r="B43" s="4">
        <v>0</v>
      </c>
      <c r="C43" s="2">
        <f t="dataTable" ref="C43:C53" dt2D="0" dtr="0" r1="C19"/>
        <v>313645.53000000003</v>
      </c>
    </row>
    <row r="44" spans="2:18" x14ac:dyDescent="0.25">
      <c r="B44" s="4">
        <f>B43+10%</f>
        <v>0.1</v>
      </c>
      <c r="C44" s="2">
        <v>179349.7851612221</v>
      </c>
    </row>
    <row r="45" spans="2:18" x14ac:dyDescent="0.25">
      <c r="B45" s="4">
        <f t="shared" ref="B45:B53" si="17">B44+10%</f>
        <v>0.2</v>
      </c>
      <c r="C45" s="2">
        <v>94360.287262088503</v>
      </c>
    </row>
    <row r="46" spans="2:18" x14ac:dyDescent="0.25">
      <c r="B46" s="4">
        <f t="shared" si="17"/>
        <v>0.30000000000000004</v>
      </c>
      <c r="C46" s="2">
        <v>37814.026254198136</v>
      </c>
    </row>
    <row r="47" spans="2:18" x14ac:dyDescent="0.25">
      <c r="B47" s="4">
        <f t="shared" si="17"/>
        <v>0.4</v>
      </c>
      <c r="C47" s="2">
        <v>-1433.1733057654346</v>
      </c>
    </row>
    <row r="48" spans="2:18" x14ac:dyDescent="0.25">
      <c r="B48" s="4">
        <f t="shared" si="17"/>
        <v>0.5</v>
      </c>
      <c r="C48" s="2">
        <v>-29674.424032921816</v>
      </c>
    </row>
    <row r="49" spans="2:3" x14ac:dyDescent="0.25">
      <c r="B49" s="4">
        <f t="shared" si="17"/>
        <v>0.6</v>
      </c>
      <c r="C49" s="2">
        <v>-50636.452674865723</v>
      </c>
    </row>
    <row r="50" spans="2:3" x14ac:dyDescent="0.25">
      <c r="B50" s="4">
        <f t="shared" si="17"/>
        <v>0.7</v>
      </c>
      <c r="C50" s="2">
        <v>-66618.845947162277</v>
      </c>
    </row>
    <row r="51" spans="2:3" x14ac:dyDescent="0.25">
      <c r="B51" s="4">
        <f t="shared" si="17"/>
        <v>0.79999999999999993</v>
      </c>
      <c r="C51" s="2">
        <v>-79092.481985300314</v>
      </c>
    </row>
    <row r="52" spans="2:3" x14ac:dyDescent="0.25">
      <c r="B52" s="4">
        <f>B51+10%</f>
        <v>0.89999999999999991</v>
      </c>
      <c r="C52" s="2">
        <v>-89028.432930185721</v>
      </c>
    </row>
    <row r="53" spans="2:3" x14ac:dyDescent="0.25">
      <c r="B53" s="4">
        <f t="shared" si="17"/>
        <v>0.99999999999999989</v>
      </c>
      <c r="C53" s="2">
        <v>-97086.061562500006</v>
      </c>
    </row>
    <row r="55" spans="2:3" x14ac:dyDescent="0.25">
      <c r="B55" s="43" t="s">
        <v>70</v>
      </c>
      <c r="C55" s="43"/>
    </row>
    <row r="56" spans="2:3" ht="15.75" thickBot="1" x14ac:dyDescent="0.3"/>
    <row r="57" spans="2:3" ht="15.75" thickBot="1" x14ac:dyDescent="0.3">
      <c r="B57" s="31" t="s">
        <v>66</v>
      </c>
      <c r="C57" s="32">
        <v>0.4</v>
      </c>
    </row>
    <row r="59" spans="2:3" x14ac:dyDescent="0.25">
      <c r="B59" t="s">
        <v>71</v>
      </c>
    </row>
    <row r="60" spans="2:3" x14ac:dyDescent="0.25">
      <c r="B60" t="s">
        <v>72</v>
      </c>
    </row>
    <row r="61" spans="2:3" x14ac:dyDescent="0.25">
      <c r="B61" t="s">
        <v>73</v>
      </c>
    </row>
    <row r="62" spans="2:3" x14ac:dyDescent="0.25">
      <c r="B62" t="s">
        <v>74</v>
      </c>
    </row>
  </sheetData>
  <mergeCells count="1">
    <mergeCell ref="B55:C55"/>
  </mergeCell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2026-01-20T21:13:35Z</dcterms:modified>
</cp:coreProperties>
</file>